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1"/>
  </bookViews>
  <sheets>
    <sheet name="#13" sheetId="1" r:id="rId1"/>
    <sheet name="#21-24" sheetId="2" r:id="rId2"/>
  </sheets>
  <definedNames>
    <definedName name="solver_adj" localSheetId="1" hidden="1">'#21-24'!$D$28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'#21-24'!$I$53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<sst xmlns="http://schemas.openxmlformats.org/spreadsheetml/2006/main" count="135" uniqueCount="87">
  <si>
    <t>Input area:</t>
  </si>
  <si>
    <t>Current liabilities</t>
  </si>
  <si>
    <t>Output area:</t>
  </si>
  <si>
    <t>Current assets</t>
  </si>
  <si>
    <t>Sales</t>
  </si>
  <si>
    <t>Costs</t>
  </si>
  <si>
    <t>Assets</t>
  </si>
  <si>
    <t>Net income</t>
  </si>
  <si>
    <t>Sales increase</t>
  </si>
  <si>
    <t>Total</t>
  </si>
  <si>
    <t>Dividends</t>
  </si>
  <si>
    <t>Add. To RE</t>
  </si>
  <si>
    <t>External financing needed =</t>
  </si>
  <si>
    <t>External financing = Total assets - Total debt &amp; equity =</t>
  </si>
  <si>
    <t>Tax rate</t>
  </si>
  <si>
    <t>Taxable income</t>
  </si>
  <si>
    <t>Taxes</t>
  </si>
  <si>
    <t>Fixed assets</t>
  </si>
  <si>
    <t>Long-term debt</t>
  </si>
  <si>
    <t>Payout ratio</t>
  </si>
  <si>
    <t>Cash</t>
  </si>
  <si>
    <t>Accounts receivable</t>
  </si>
  <si>
    <t>Inventory</t>
  </si>
  <si>
    <t>Net plant and equipment</t>
  </si>
  <si>
    <t>Accounts payable</t>
  </si>
  <si>
    <t>Notes payable</t>
  </si>
  <si>
    <t>Common stock</t>
  </si>
  <si>
    <t>Retained earnings</t>
  </si>
  <si>
    <t>Owners' equity</t>
  </si>
  <si>
    <t xml:space="preserve">Total liabilities and </t>
  </si>
  <si>
    <t>Total assets</t>
  </si>
  <si>
    <t>Question 13</t>
  </si>
  <si>
    <t>Profit margin</t>
  </si>
  <si>
    <t>Sustainable growth rate</t>
  </si>
  <si>
    <t xml:space="preserve">Accounts receivable </t>
  </si>
  <si>
    <t>Add. to retained earnings</t>
  </si>
  <si>
    <t>Other expenses</t>
  </si>
  <si>
    <t>Interest expense</t>
  </si>
  <si>
    <t>EBIT</t>
  </si>
  <si>
    <t>Dividend payout ratio =</t>
  </si>
  <si>
    <t>Net plant and</t>
  </si>
  <si>
    <t>equipment</t>
  </si>
  <si>
    <t>Common stock and</t>
  </si>
  <si>
    <t>paid-in surplus</t>
  </si>
  <si>
    <t>owners' equity</t>
  </si>
  <si>
    <t>Liabilities and owners' equity</t>
  </si>
  <si>
    <t>Operating capacity</t>
  </si>
  <si>
    <t>Fixed assets required at full capacity = Fixed assets / Full capacity sales =</t>
  </si>
  <si>
    <t xml:space="preserve">External financing needed = </t>
  </si>
  <si>
    <t>New total debt =</t>
  </si>
  <si>
    <t>percent sales growth rate in the input</t>
  </si>
  <si>
    <t>area below.</t>
  </si>
  <si>
    <t>2004 Debt/equity ratio =</t>
  </si>
  <si>
    <t>Full capacity sales = 2004 Sales / Operating capacity =</t>
  </si>
  <si>
    <t>Total fixed assets = Fixed assets required X 2004 Sales =</t>
  </si>
  <si>
    <t>Growth rate</t>
  </si>
  <si>
    <t>Chapter 3</t>
  </si>
  <si>
    <t>Change in sales</t>
  </si>
  <si>
    <t>a.</t>
  </si>
  <si>
    <t>Liabilities and equity</t>
  </si>
  <si>
    <t>Additions to retained earnings</t>
  </si>
  <si>
    <t>Total equity</t>
  </si>
  <si>
    <t>Total liabilities and equity</t>
  </si>
  <si>
    <t>b.</t>
  </si>
  <si>
    <t>EFN</t>
  </si>
  <si>
    <t>c.</t>
  </si>
  <si>
    <t>Short-term debt</t>
  </si>
  <si>
    <t>Total assets/Sales</t>
  </si>
  <si>
    <t>Addition to retained earnings</t>
  </si>
  <si>
    <t>Accumulated retained earnings</t>
  </si>
  <si>
    <t>Debt-to-equity ratio</t>
  </si>
  <si>
    <t>Assets/Sales</t>
  </si>
  <si>
    <t>New sales</t>
  </si>
  <si>
    <t>Debt/Sales</t>
  </si>
  <si>
    <t>Alternatively:</t>
  </si>
  <si>
    <t xml:space="preserve">ROE </t>
  </si>
  <si>
    <t>Retention ratio</t>
  </si>
  <si>
    <t>Sustainable growth</t>
  </si>
  <si>
    <t>d.</t>
  </si>
  <si>
    <t>Zero dividend EFN</t>
  </si>
  <si>
    <t>Projected net income</t>
  </si>
  <si>
    <t xml:space="preserve">For problems 21 and 22, change the </t>
  </si>
  <si>
    <t>#20 and #21</t>
  </si>
  <si>
    <t>#22</t>
  </si>
  <si>
    <t>2006 Pro Forma Income Statement</t>
  </si>
  <si>
    <t>2005 Net income</t>
  </si>
  <si>
    <t>Questions 21-24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</si>
</sst>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#,##0.0_);\(#,##0.0\)"/>
    <numFmt numFmtId="170" formatCode="0.0%"/>
    <numFmt numFmtId="171" formatCode="#,##0.0"/>
    <numFmt numFmtId="172" formatCode="&quot;$&quot;#,##0.0_);\(&quot;$&quot;#,##0.0\)"/>
    <numFmt numFmtId="173" formatCode="_(&quot;$&quot;* #,##0.0000_);_(&quot;$&quot;* \(#,##0.0000\);_(&quot;$&quot;* &quot;-&quot;??_);_(@_)"/>
    <numFmt numFmtId="174" formatCode="_(* #,##0.0_);_(* \(#,##0.0\);_(* &quot;-&quot;_);_(@_)"/>
    <numFmt numFmtId="175" formatCode="_(* #,##0.00_);_(* \(#,##0.00\);_(* &quot;-&quot;_);_(@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_);\(0.00\)"/>
    <numFmt numFmtId="184" formatCode="#,##0.00;[Red]#,##0.00"/>
    <numFmt numFmtId="185" formatCode="#,##0.0;[Red]#,##0.0"/>
    <numFmt numFmtId="186" formatCode="#,##0;[Red]#,##0"/>
    <numFmt numFmtId="187" formatCode="&quot;$&quot;#,##0.00"/>
    <numFmt numFmtId="188" formatCode="&quot;$&quot;#,##0.0"/>
    <numFmt numFmtId="189" formatCode="&quot;$&quot;#,##0"/>
    <numFmt numFmtId="190" formatCode="_(* #,##0.0_);_(* \(#,##0.0\);_(* &quot;-&quot;?_);_(@_)"/>
    <numFmt numFmtId="191" formatCode="0.00000000000000%"/>
    <numFmt numFmtId="192" formatCode="0.0000000000000%"/>
    <numFmt numFmtId="193" formatCode="0.000000000000%"/>
    <numFmt numFmtId="194" formatCode="_(* #,##0.000_);_(* \(#,##0.000\);_(* &quot;-&quot;??_);_(@_)"/>
    <numFmt numFmtId="195" formatCode="_(* #,##0.0000_);_(* \(#,##0.0000\);_(* &quot;-&quot;??_);_(@_)"/>
    <numFmt numFmtId="196" formatCode="00000"/>
    <numFmt numFmtId="197" formatCode="#,##0.000_);\(#,##0.000\)"/>
    <numFmt numFmtId="198" formatCode="#,##0.0000_);\(#,##0.0000\)"/>
    <numFmt numFmtId="199" formatCode="_(* #,##0.0000_);_(* \(#,##0.0000\);_(* &quot;-&quot;????_);_(@_)"/>
    <numFmt numFmtId="200" formatCode="0.000%"/>
    <numFmt numFmtId="201" formatCode="[$£-809]#,##0.00"/>
    <numFmt numFmtId="202" formatCode="_-[$£-809]* #,##0.00_-;\-[$£-809]* #,##0.00_-;_-[$£-809]* &quot;-&quot;??_-;_-@_-"/>
    <numFmt numFmtId="203" formatCode="[$£-809]#,##0.00;\-[$£-809]#,##0.00"/>
    <numFmt numFmtId="204" formatCode="[$£-809]#,##0.0;\-[$£-809]#,##0.0"/>
    <numFmt numFmtId="205" formatCode="[$£-809]#,##0;\-[$£-809]#,##0"/>
    <numFmt numFmtId="206" formatCode="[$£-809]#,##0"/>
    <numFmt numFmtId="207" formatCode="_-[$£-709]* #,##0.00_-;\-[$£-709]* #,##0.00_-;_-[$£-709]* &quot;-&quot;??_-;_-@_-"/>
    <numFmt numFmtId="208" formatCode="_-[$£-609]* #,##0.00_-;\-[$£-609]* #,##0.00_-;_-[$£-609]* &quot;-&quot;??_-;_-@_-"/>
    <numFmt numFmtId="209" formatCode="_-[$£-509]* #,##0.00_-;\-[$£-509]* #,##0.00_-;_-[$£-509]* &quot;-&quot;??_-;_-@_-"/>
    <numFmt numFmtId="210" formatCode="_-[$£-409]* #,##0.00_-;\-[$£-409]* #,##0.00_-;_-[$£-409]* &quot;-&quot;??_-;_-@_-"/>
    <numFmt numFmtId="211" formatCode="_-[$£-309]* #,##0.00_-;\-[$£-309]* #,##0.00_-;_-[$£-309]* &quot;-&quot;??_-;_-@_-"/>
    <numFmt numFmtId="212" formatCode="[$£-809]#,##0.0"/>
    <numFmt numFmtId="213" formatCode="[$£-809]#,##0.000"/>
    <numFmt numFmtId="214" formatCode="[$£-809]#,##0.0000"/>
    <numFmt numFmtId="215" formatCode="_(* #,##0.00000_);_(* \(#,##0.00000\);_(* &quot;-&quot;?????_);_(@_)"/>
    <numFmt numFmtId="216" formatCode="_(* #,##0.00000_);_(* \(#,##0.00000\);_(* &quot;-&quot;??_);_(@_)"/>
    <numFmt numFmtId="217" formatCode="&quot;$&quot;#,##0;[Red]&quot;$&quot;#,##0"/>
    <numFmt numFmtId="218" formatCode="[$-409]dddd\,\ mmmm\ dd\,\ yyyy"/>
    <numFmt numFmtId="219" formatCode="_(&quot;$&quot;* #,##0.0_);_(&quot;$&quot;* \(#,##0.0\);_(&quot;$&quot;* &quot;-&quot;_);_(@_)"/>
    <numFmt numFmtId="220" formatCode="_(&quot;$&quot;* #,##0.00_);_(&quot;$&quot;* \(#,##0.00\);_(&quot;$&quot;* &quot;-&quot;_);_(@_)"/>
  </numFmts>
  <fonts count="4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sz val="12"/>
      <color indexed="53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66" fontId="5" fillId="34" borderId="0" xfId="44" applyNumberFormat="1" applyFont="1" applyFill="1" applyBorder="1" applyAlignment="1">
      <alignment/>
    </xf>
    <xf numFmtId="0" fontId="0" fillId="34" borderId="14" xfId="0" applyFill="1" applyBorder="1" applyAlignment="1">
      <alignment/>
    </xf>
    <xf numFmtId="41" fontId="4" fillId="34" borderId="0" xfId="0" applyNumberFormat="1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41" fontId="7" fillId="34" borderId="0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166" fontId="8" fillId="34" borderId="0" xfId="44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2" fillId="34" borderId="16" xfId="0" applyFont="1" applyFill="1" applyBorder="1" applyAlignment="1">
      <alignment/>
    </xf>
    <xf numFmtId="166" fontId="2" fillId="34" borderId="0" xfId="44" applyNumberFormat="1" applyFont="1" applyFill="1" applyBorder="1" applyAlignment="1">
      <alignment/>
    </xf>
    <xf numFmtId="43" fontId="6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" fillId="34" borderId="18" xfId="0" applyFont="1" applyFill="1" applyBorder="1" applyAlignment="1">
      <alignment/>
    </xf>
    <xf numFmtId="168" fontId="5" fillId="34" borderId="0" xfId="42" applyNumberFormat="1" applyFont="1" applyFill="1" applyBorder="1" applyAlignment="1">
      <alignment/>
    </xf>
    <xf numFmtId="168" fontId="5" fillId="34" borderId="18" xfId="42" applyNumberFormat="1" applyFont="1" applyFill="1" applyBorder="1" applyAlignment="1">
      <alignment/>
    </xf>
    <xf numFmtId="166" fontId="5" fillId="34" borderId="19" xfId="44" applyNumberFormat="1" applyFont="1" applyFill="1" applyBorder="1" applyAlignment="1">
      <alignment/>
    </xf>
    <xf numFmtId="44" fontId="5" fillId="34" borderId="0" xfId="44" applyFont="1" applyFill="1" applyBorder="1" applyAlignment="1">
      <alignment/>
    </xf>
    <xf numFmtId="166" fontId="6" fillId="34" borderId="0" xfId="44" applyNumberFormat="1" applyFont="1" applyFill="1" applyBorder="1" applyAlignment="1">
      <alignment/>
    </xf>
    <xf numFmtId="166" fontId="6" fillId="34" borderId="20" xfId="44" applyNumberFormat="1" applyFont="1" applyFill="1" applyBorder="1" applyAlignment="1">
      <alignment/>
    </xf>
    <xf numFmtId="44" fontId="5" fillId="34" borderId="0" xfId="44" applyNumberFormat="1" applyFont="1" applyFill="1" applyBorder="1" applyAlignment="1">
      <alignment/>
    </xf>
    <xf numFmtId="43" fontId="5" fillId="34" borderId="0" xfId="42" applyNumberFormat="1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10" fontId="6" fillId="34" borderId="0" xfId="59" applyNumberFormat="1" applyFont="1" applyFill="1" applyBorder="1" applyAlignment="1">
      <alignment/>
    </xf>
    <xf numFmtId="10" fontId="6" fillId="34" borderId="20" xfId="59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12" xfId="0" applyFont="1" applyFill="1" applyBorder="1" applyAlignment="1">
      <alignment/>
    </xf>
    <xf numFmtId="44" fontId="6" fillId="34" borderId="20" xfId="0" applyNumberFormat="1" applyFont="1" applyFill="1" applyBorder="1" applyAlignment="1">
      <alignment/>
    </xf>
    <xf numFmtId="10" fontId="5" fillId="34" borderId="0" xfId="59" applyNumberFormat="1" applyFont="1" applyFill="1" applyBorder="1" applyAlignment="1">
      <alignment/>
    </xf>
    <xf numFmtId="166" fontId="5" fillId="34" borderId="0" xfId="42" applyNumberFormat="1" applyFont="1" applyFill="1" applyBorder="1" applyAlignment="1">
      <alignment/>
    </xf>
    <xf numFmtId="44" fontId="6" fillId="34" borderId="0" xfId="44" applyNumberFormat="1" applyFont="1" applyFill="1" applyBorder="1" applyAlignment="1">
      <alignment/>
    </xf>
    <xf numFmtId="168" fontId="5" fillId="34" borderId="0" xfId="44" applyNumberFormat="1" applyFont="1" applyFill="1" applyBorder="1" applyAlignment="1">
      <alignment/>
    </xf>
    <xf numFmtId="168" fontId="2" fillId="34" borderId="0" xfId="0" applyNumberFormat="1" applyFont="1" applyFill="1" applyBorder="1" applyAlignment="1">
      <alignment/>
    </xf>
    <xf numFmtId="166" fontId="5" fillId="34" borderId="21" xfId="44" applyNumberFormat="1" applyFont="1" applyFill="1" applyBorder="1" applyAlignment="1">
      <alignment/>
    </xf>
    <xf numFmtId="166" fontId="5" fillId="34" borderId="22" xfId="44" applyNumberFormat="1" applyFont="1" applyFill="1" applyBorder="1" applyAlignment="1">
      <alignment/>
    </xf>
    <xf numFmtId="166" fontId="5" fillId="34" borderId="18" xfId="44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79" fontId="5" fillId="34" borderId="0" xfId="0" applyNumberFormat="1" applyFont="1" applyFill="1" applyBorder="1" applyAlignment="1">
      <alignment/>
    </xf>
    <xf numFmtId="166" fontId="6" fillId="34" borderId="2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216" fontId="5" fillId="34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66" fontId="4" fillId="33" borderId="0" xfId="44" applyNumberFormat="1" applyFont="1" applyFill="1" applyBorder="1" applyAlignment="1">
      <alignment/>
    </xf>
    <xf numFmtId="168" fontId="4" fillId="33" borderId="0" xfId="42" applyNumberFormat="1" applyFont="1" applyFill="1" applyBorder="1" applyAlignment="1">
      <alignment/>
    </xf>
    <xf numFmtId="9" fontId="4" fillId="33" borderId="0" xfId="59" applyFont="1" applyFill="1" applyBorder="1" applyAlignment="1">
      <alignment/>
    </xf>
    <xf numFmtId="9" fontId="4" fillId="33" borderId="0" xfId="59" applyNumberFormat="1" applyFont="1" applyFill="1" applyBorder="1" applyAlignment="1">
      <alignment/>
    </xf>
    <xf numFmtId="168" fontId="4" fillId="34" borderId="18" xfId="42" applyNumberFormat="1" applyFont="1" applyFill="1" applyBorder="1" applyAlignment="1">
      <alignment/>
    </xf>
    <xf numFmtId="43" fontId="4" fillId="34" borderId="0" xfId="42" applyFont="1" applyFill="1" applyBorder="1" applyAlignment="1">
      <alignment/>
    </xf>
    <xf numFmtId="44" fontId="4" fillId="34" borderId="0" xfId="44" applyFont="1" applyFill="1" applyBorder="1" applyAlignment="1">
      <alignment/>
    </xf>
    <xf numFmtId="166" fontId="4" fillId="34" borderId="0" xfId="44" applyNumberFormat="1" applyFont="1" applyFill="1" applyAlignment="1">
      <alignment/>
    </xf>
    <xf numFmtId="0" fontId="9" fillId="34" borderId="11" xfId="0" applyFont="1" applyFill="1" applyBorder="1" applyAlignment="1">
      <alignment/>
    </xf>
    <xf numFmtId="42" fontId="4" fillId="33" borderId="0" xfId="42" applyNumberFormat="1" applyFont="1" applyFill="1" applyBorder="1" applyAlignment="1">
      <alignment/>
    </xf>
    <xf numFmtId="42" fontId="5" fillId="34" borderId="0" xfId="59" applyNumberFormat="1" applyFont="1" applyFill="1" applyBorder="1" applyAlignment="1">
      <alignment/>
    </xf>
    <xf numFmtId="167" fontId="2" fillId="34" borderId="0" xfId="42" applyNumberFormat="1" applyFont="1" applyFill="1" applyBorder="1" applyAlignment="1">
      <alignment/>
    </xf>
    <xf numFmtId="44" fontId="2" fillId="34" borderId="0" xfId="44" applyNumberFormat="1" applyFont="1" applyFill="1" applyBorder="1" applyAlignment="1">
      <alignment/>
    </xf>
    <xf numFmtId="10" fontId="2" fillId="34" borderId="0" xfId="59" applyNumberFormat="1" applyFont="1" applyFill="1" applyBorder="1" applyAlignment="1">
      <alignment/>
    </xf>
    <xf numFmtId="42" fontId="5" fillId="34" borderId="0" xfId="0" applyNumberFormat="1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42" fontId="5" fillId="34" borderId="19" xfId="0" applyNumberFormat="1" applyFont="1" applyFill="1" applyBorder="1" applyAlignment="1">
      <alignment/>
    </xf>
    <xf numFmtId="41" fontId="5" fillId="34" borderId="18" xfId="0" applyNumberFormat="1" applyFont="1" applyFill="1" applyBorder="1" applyAlignment="1">
      <alignment/>
    </xf>
    <xf numFmtId="42" fontId="6" fillId="34" borderId="20" xfId="0" applyNumberFormat="1" applyFont="1" applyFill="1" applyBorder="1" applyAlignment="1">
      <alignment/>
    </xf>
    <xf numFmtId="42" fontId="6" fillId="34" borderId="0" xfId="0" applyNumberFormat="1" applyFont="1" applyFill="1" applyBorder="1" applyAlignment="1">
      <alignment/>
    </xf>
    <xf numFmtId="42" fontId="4" fillId="33" borderId="0" xfId="59" applyNumberFormat="1" applyFont="1" applyFill="1" applyBorder="1" applyAlignment="1">
      <alignment/>
    </xf>
    <xf numFmtId="10" fontId="5" fillId="34" borderId="0" xfId="0" applyNumberFormat="1" applyFont="1" applyFill="1" applyBorder="1" applyAlignment="1">
      <alignment/>
    </xf>
    <xf numFmtId="195" fontId="5" fillId="34" borderId="0" xfId="59" applyNumberFormat="1" applyFont="1" applyFill="1" applyBorder="1" applyAlignment="1">
      <alignment/>
    </xf>
    <xf numFmtId="10" fontId="4" fillId="34" borderId="0" xfId="59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7"/>
  <sheetViews>
    <sheetView zoomScalePageLayoutView="0" workbookViewId="0" topLeftCell="A65">
      <selection activeCell="F89" sqref="F89"/>
    </sheetView>
  </sheetViews>
  <sheetFormatPr defaultColWidth="9.140625" defaultRowHeight="12.75"/>
  <cols>
    <col min="2" max="2" width="3.140625" style="85" customWidth="1"/>
    <col min="3" max="3" width="31.7109375" style="0" bestFit="1" customWidth="1"/>
    <col min="4" max="4" width="18.28125" style="2" bestFit="1" customWidth="1"/>
    <col min="5" max="5" width="3.00390625" style="0" customWidth="1"/>
    <col min="6" max="6" width="31.7109375" style="0" bestFit="1" customWidth="1"/>
    <col min="7" max="7" width="16.8515625" style="0" bestFit="1" customWidth="1"/>
    <col min="8" max="8" width="9.00390625" style="0" bestFit="1" customWidth="1"/>
    <col min="9" max="9" width="12.8515625" style="0" bestFit="1" customWidth="1"/>
    <col min="10" max="10" width="3.140625" style="0" customWidth="1"/>
  </cols>
  <sheetData>
    <row r="1" ht="18">
      <c r="C1" s="1" t="s">
        <v>56</v>
      </c>
    </row>
    <row r="2" ht="15">
      <c r="C2" s="2" t="s">
        <v>31</v>
      </c>
    </row>
    <row r="4" spans="3:9" ht="15">
      <c r="C4" s="3" t="s">
        <v>0</v>
      </c>
      <c r="E4" s="2"/>
      <c r="F4" s="2"/>
      <c r="G4" s="2"/>
      <c r="H4" s="2"/>
      <c r="I4" s="2"/>
    </row>
    <row r="5" spans="3:9" ht="15.75" thickBot="1">
      <c r="C5" s="4"/>
      <c r="D5" s="5"/>
      <c r="E5" s="2"/>
      <c r="F5" s="2"/>
      <c r="G5" s="2"/>
      <c r="H5" s="2"/>
      <c r="I5" s="2"/>
    </row>
    <row r="6" spans="2:9" ht="15">
      <c r="B6" s="86"/>
      <c r="C6" s="7"/>
      <c r="D6" s="8"/>
      <c r="E6" s="9"/>
      <c r="F6" s="2"/>
      <c r="G6" s="2"/>
      <c r="H6" s="2"/>
      <c r="I6" s="2"/>
    </row>
    <row r="7" spans="2:9" ht="15">
      <c r="B7" s="87"/>
      <c r="C7" s="11" t="s">
        <v>55</v>
      </c>
      <c r="D7" s="71">
        <v>0.2</v>
      </c>
      <c r="E7" s="12"/>
      <c r="F7" s="2"/>
      <c r="G7" s="2"/>
      <c r="H7" s="2"/>
      <c r="I7" s="2"/>
    </row>
    <row r="8" spans="2:9" ht="15">
      <c r="B8" s="87"/>
      <c r="C8" s="11" t="s">
        <v>4</v>
      </c>
      <c r="D8" s="97">
        <v>38000000</v>
      </c>
      <c r="E8" s="12"/>
      <c r="F8" s="2"/>
      <c r="G8" s="2"/>
      <c r="H8" s="2"/>
      <c r="I8" s="2"/>
    </row>
    <row r="9" spans="2:9" ht="15">
      <c r="B9" s="87"/>
      <c r="C9" s="11" t="s">
        <v>5</v>
      </c>
      <c r="D9" s="78">
        <v>33400000</v>
      </c>
      <c r="E9" s="12"/>
      <c r="F9" s="2"/>
      <c r="G9" s="2"/>
      <c r="H9" s="2"/>
      <c r="I9" s="2"/>
    </row>
    <row r="10" spans="2:9" ht="15">
      <c r="B10" s="87"/>
      <c r="C10" s="11" t="s">
        <v>15</v>
      </c>
      <c r="D10" s="97">
        <v>4600000</v>
      </c>
      <c r="E10" s="12"/>
      <c r="F10" s="2"/>
      <c r="G10" s="2"/>
      <c r="H10" s="2"/>
      <c r="I10" s="2"/>
    </row>
    <row r="11" spans="2:9" ht="15">
      <c r="B11" s="87"/>
      <c r="C11" s="11" t="s">
        <v>16</v>
      </c>
      <c r="D11" s="97">
        <v>1610000</v>
      </c>
      <c r="E11" s="12"/>
      <c r="F11" s="2"/>
      <c r="G11" s="2"/>
      <c r="H11" s="2"/>
      <c r="I11" s="2"/>
    </row>
    <row r="12" spans="2:9" ht="15">
      <c r="B12" s="87"/>
      <c r="C12" s="11" t="s">
        <v>7</v>
      </c>
      <c r="D12" s="97">
        <v>2990000</v>
      </c>
      <c r="E12" s="12"/>
      <c r="F12" s="2"/>
      <c r="G12" s="2"/>
      <c r="H12" s="2"/>
      <c r="I12" s="2"/>
    </row>
    <row r="13" spans="2:9" ht="15">
      <c r="B13" s="87"/>
      <c r="C13" s="11" t="s">
        <v>10</v>
      </c>
      <c r="D13" s="97">
        <v>1196000</v>
      </c>
      <c r="E13" s="12"/>
      <c r="F13" s="2"/>
      <c r="G13" s="2"/>
      <c r="H13" s="2"/>
      <c r="I13" s="2"/>
    </row>
    <row r="14" spans="2:9" ht="15">
      <c r="B14" s="87"/>
      <c r="C14" s="11" t="s">
        <v>68</v>
      </c>
      <c r="D14" s="78">
        <v>1794000</v>
      </c>
      <c r="E14" s="12"/>
      <c r="F14" s="2"/>
      <c r="G14" s="2"/>
      <c r="H14" s="2"/>
      <c r="I14" s="2"/>
    </row>
    <row r="15" spans="2:9" ht="15">
      <c r="B15" s="87"/>
      <c r="C15" s="11" t="s">
        <v>3</v>
      </c>
      <c r="D15" s="78">
        <v>9000000</v>
      </c>
      <c r="E15" s="12"/>
      <c r="F15" s="2"/>
      <c r="G15" s="2"/>
      <c r="H15" s="2"/>
      <c r="I15" s="2"/>
    </row>
    <row r="16" spans="2:9" ht="15">
      <c r="B16" s="87"/>
      <c r="C16" s="11" t="s">
        <v>17</v>
      </c>
      <c r="D16" s="78">
        <v>22000000</v>
      </c>
      <c r="E16" s="12"/>
      <c r="F16" s="2"/>
      <c r="G16" s="2"/>
      <c r="H16" s="2"/>
      <c r="I16" s="2"/>
    </row>
    <row r="17" spans="2:9" ht="15">
      <c r="B17" s="87"/>
      <c r="C17" s="11" t="s">
        <v>66</v>
      </c>
      <c r="D17" s="78">
        <v>8000000</v>
      </c>
      <c r="E17" s="12"/>
      <c r="F17" s="2"/>
      <c r="G17" s="2"/>
      <c r="H17" s="2"/>
      <c r="I17" s="2"/>
    </row>
    <row r="18" spans="2:9" ht="15">
      <c r="B18" s="87"/>
      <c r="C18" s="11" t="s">
        <v>18</v>
      </c>
      <c r="D18" s="78">
        <v>6000000</v>
      </c>
      <c r="E18" s="12"/>
      <c r="F18" s="2"/>
      <c r="G18" s="2"/>
      <c r="H18" s="2"/>
      <c r="I18" s="2"/>
    </row>
    <row r="19" spans="2:9" ht="15">
      <c r="B19" s="87"/>
      <c r="C19" s="11" t="s">
        <v>26</v>
      </c>
      <c r="D19" s="78">
        <v>4000000</v>
      </c>
      <c r="E19" s="12"/>
      <c r="F19" s="2"/>
      <c r="G19" s="2"/>
      <c r="H19" s="2"/>
      <c r="I19" s="2"/>
    </row>
    <row r="20" spans="2:9" ht="15">
      <c r="B20" s="87"/>
      <c r="C20" s="11" t="s">
        <v>69</v>
      </c>
      <c r="D20" s="78">
        <v>13000000</v>
      </c>
      <c r="E20" s="12"/>
      <c r="F20" s="2"/>
      <c r="G20" s="2"/>
      <c r="H20" s="2"/>
      <c r="I20" s="2"/>
    </row>
    <row r="21" spans="2:9" ht="15.75" thickBot="1">
      <c r="B21" s="88"/>
      <c r="C21" s="14"/>
      <c r="D21" s="14"/>
      <c r="E21" s="15"/>
      <c r="F21" s="2"/>
      <c r="G21" s="2"/>
      <c r="H21" s="2"/>
      <c r="I21" s="2"/>
    </row>
    <row r="22" spans="3:9" ht="15">
      <c r="C22" s="2"/>
      <c r="E22" s="2"/>
      <c r="F22" s="2"/>
      <c r="G22" s="2"/>
      <c r="H22" s="2"/>
      <c r="I22" s="2"/>
    </row>
    <row r="23" spans="3:9" ht="15">
      <c r="C23" s="3" t="s">
        <v>2</v>
      </c>
      <c r="E23" s="2"/>
      <c r="F23" s="2"/>
      <c r="G23" s="2"/>
      <c r="H23" s="2"/>
      <c r="I23" s="2"/>
    </row>
    <row r="24" spans="3:9" ht="15.75" thickBot="1">
      <c r="C24" s="4"/>
      <c r="E24" s="2"/>
      <c r="F24" s="2"/>
      <c r="G24" s="2"/>
      <c r="H24" s="2"/>
      <c r="I24" s="2"/>
    </row>
    <row r="25" spans="2:10" ht="15">
      <c r="B25" s="89"/>
      <c r="C25" s="17"/>
      <c r="D25" s="17"/>
      <c r="E25" s="17"/>
      <c r="F25" s="17"/>
      <c r="G25" s="17"/>
      <c r="H25" s="17"/>
      <c r="I25" s="17"/>
      <c r="J25" s="18"/>
    </row>
    <row r="26" spans="2:10" ht="15">
      <c r="B26" s="84" t="s">
        <v>58</v>
      </c>
      <c r="C26" s="20" t="s">
        <v>19</v>
      </c>
      <c r="D26" s="53">
        <f>D13/D12</f>
        <v>0.4</v>
      </c>
      <c r="E26" s="20"/>
      <c r="F26" s="20"/>
      <c r="G26" s="20"/>
      <c r="H26" s="20"/>
      <c r="I26" s="20"/>
      <c r="J26" s="23"/>
    </row>
    <row r="27" spans="2:10" ht="15">
      <c r="B27" s="90"/>
      <c r="C27" s="20" t="s">
        <v>73</v>
      </c>
      <c r="D27" s="53">
        <f>D17/D8</f>
        <v>0.21052631578947367</v>
      </c>
      <c r="E27" s="20"/>
      <c r="F27" s="20"/>
      <c r="G27" s="20"/>
      <c r="H27" s="20"/>
      <c r="I27" s="20"/>
      <c r="J27" s="23"/>
    </row>
    <row r="28" spans="2:10" ht="15">
      <c r="B28" s="90"/>
      <c r="C28" s="20" t="s">
        <v>32</v>
      </c>
      <c r="D28" s="53">
        <f>D12/D8</f>
        <v>0.07868421052631579</v>
      </c>
      <c r="E28" s="20"/>
      <c r="F28" s="20"/>
      <c r="G28" s="20"/>
      <c r="H28" s="20"/>
      <c r="I28" s="20"/>
      <c r="J28" s="23"/>
    </row>
    <row r="29" spans="2:10" ht="15">
      <c r="B29" s="90"/>
      <c r="C29" s="20" t="s">
        <v>71</v>
      </c>
      <c r="D29" s="99">
        <f>(D16+D15)/D8</f>
        <v>0.8157894736842105</v>
      </c>
      <c r="E29" s="20"/>
      <c r="F29" s="20"/>
      <c r="G29" s="20"/>
      <c r="H29" s="20"/>
      <c r="I29" s="20"/>
      <c r="J29" s="23"/>
    </row>
    <row r="30" spans="2:10" ht="15">
      <c r="B30" s="90"/>
      <c r="C30" s="20" t="s">
        <v>72</v>
      </c>
      <c r="D30" s="79">
        <f>D8*(1+D7)</f>
        <v>45600000</v>
      </c>
      <c r="E30" s="20"/>
      <c r="F30" s="20"/>
      <c r="G30" s="20"/>
      <c r="H30" s="20"/>
      <c r="I30" s="20"/>
      <c r="J30" s="23"/>
    </row>
    <row r="31" spans="2:10" ht="15">
      <c r="B31" s="90"/>
      <c r="C31" s="20" t="s">
        <v>57</v>
      </c>
      <c r="D31" s="79">
        <f>D30-D8</f>
        <v>7600000</v>
      </c>
      <c r="E31" s="20"/>
      <c r="F31" s="20"/>
      <c r="G31" s="20"/>
      <c r="H31" s="20"/>
      <c r="I31" s="20"/>
      <c r="J31" s="23"/>
    </row>
    <row r="32" spans="2:10" ht="15">
      <c r="B32" s="90"/>
      <c r="C32" s="20"/>
      <c r="D32" s="20"/>
      <c r="E32" s="20"/>
      <c r="F32" s="20"/>
      <c r="G32" s="20"/>
      <c r="H32" s="20"/>
      <c r="I32" s="20"/>
      <c r="J32" s="23"/>
    </row>
    <row r="33" spans="2:10" ht="15.75">
      <c r="B33" s="84"/>
      <c r="C33" s="20" t="s">
        <v>64</v>
      </c>
      <c r="D33" s="95">
        <f>(D29*D31)-(D27*D31)-((D28*D30)*(1-D26))</f>
        <v>2447200</v>
      </c>
      <c r="E33" s="20"/>
      <c r="F33" s="20"/>
      <c r="G33" s="20"/>
      <c r="H33" s="20"/>
      <c r="I33" s="20"/>
      <c r="J33" s="23"/>
    </row>
    <row r="34" spans="2:10" ht="15">
      <c r="B34" s="90"/>
      <c r="C34" s="20"/>
      <c r="D34" s="20"/>
      <c r="E34" s="20"/>
      <c r="F34" s="20"/>
      <c r="G34" s="20"/>
      <c r="H34" s="20"/>
      <c r="I34" s="20"/>
      <c r="J34" s="23"/>
    </row>
    <row r="35" spans="2:10" ht="15">
      <c r="B35" s="84" t="s">
        <v>63</v>
      </c>
      <c r="C35" s="92" t="s">
        <v>6</v>
      </c>
      <c r="D35" s="20"/>
      <c r="E35" s="20"/>
      <c r="F35" s="92" t="s">
        <v>59</v>
      </c>
      <c r="G35" s="20"/>
      <c r="H35" s="20"/>
      <c r="I35" s="20"/>
      <c r="J35" s="23"/>
    </row>
    <row r="36" spans="2:10" ht="15">
      <c r="B36" s="90"/>
      <c r="C36" s="20" t="s">
        <v>3</v>
      </c>
      <c r="D36" s="83">
        <f>D15*(1+D7)</f>
        <v>10800000</v>
      </c>
      <c r="E36" s="20"/>
      <c r="F36" s="20" t="s">
        <v>66</v>
      </c>
      <c r="G36" s="83">
        <f>D17*(1+D7)</f>
        <v>9600000</v>
      </c>
      <c r="H36" s="20"/>
      <c r="I36" s="20"/>
      <c r="J36" s="23"/>
    </row>
    <row r="37" spans="2:10" ht="15">
      <c r="B37" s="90"/>
      <c r="C37" s="36"/>
      <c r="D37" s="47"/>
      <c r="E37" s="20"/>
      <c r="F37" s="20" t="s">
        <v>18</v>
      </c>
      <c r="G37" s="83">
        <f>D18</f>
        <v>6000000</v>
      </c>
      <c r="H37" s="20"/>
      <c r="I37" s="20"/>
      <c r="J37" s="23"/>
    </row>
    <row r="38" spans="2:10" ht="15">
      <c r="B38" s="90"/>
      <c r="C38" s="20"/>
      <c r="D38" s="47"/>
      <c r="E38" s="20"/>
      <c r="F38" s="20"/>
      <c r="G38" s="47"/>
      <c r="H38" s="20"/>
      <c r="I38" s="20"/>
      <c r="J38" s="23"/>
    </row>
    <row r="39" spans="2:10" s="2" customFormat="1" ht="15">
      <c r="B39" s="90"/>
      <c r="C39" s="20" t="s">
        <v>17</v>
      </c>
      <c r="D39" s="94">
        <f>D16*(1+D7)</f>
        <v>26400000</v>
      </c>
      <c r="E39" s="20"/>
      <c r="F39" s="20" t="s">
        <v>26</v>
      </c>
      <c r="G39" s="83">
        <f>D19</f>
        <v>4000000</v>
      </c>
      <c r="H39" s="46"/>
      <c r="I39" s="80"/>
      <c r="J39" s="28"/>
    </row>
    <row r="40" spans="2:10" ht="15">
      <c r="B40" s="90"/>
      <c r="C40" s="20"/>
      <c r="D40" s="47"/>
      <c r="E40" s="20"/>
      <c r="F40" s="20" t="s">
        <v>69</v>
      </c>
      <c r="G40" s="94">
        <f>D20+((D30*D28)*(1-D26))</f>
        <v>15152800</v>
      </c>
      <c r="H40" s="81"/>
      <c r="I40" s="20"/>
      <c r="J40" s="23"/>
    </row>
    <row r="41" spans="2:10" s="2" customFormat="1" ht="15">
      <c r="B41" s="90"/>
      <c r="C41" s="20"/>
      <c r="D41" s="47"/>
      <c r="E41" s="20"/>
      <c r="F41" s="20" t="s">
        <v>61</v>
      </c>
      <c r="G41" s="83">
        <f>SUM(G39:G40)</f>
        <v>19152800</v>
      </c>
      <c r="H41" s="82"/>
      <c r="I41" s="20"/>
      <c r="J41" s="28"/>
    </row>
    <row r="42" spans="2:10" s="2" customFormat="1" ht="15">
      <c r="B42" s="90"/>
      <c r="C42" s="20"/>
      <c r="D42" s="47"/>
      <c r="E42" s="20"/>
      <c r="F42" s="20"/>
      <c r="G42" s="47"/>
      <c r="H42" s="20"/>
      <c r="I42" s="20"/>
      <c r="J42" s="28"/>
    </row>
    <row r="43" spans="2:10" s="2" customFormat="1" ht="15.75" thickBot="1">
      <c r="B43" s="90"/>
      <c r="C43" s="20" t="s">
        <v>30</v>
      </c>
      <c r="D43" s="93">
        <f>D36+D39</f>
        <v>37200000</v>
      </c>
      <c r="E43" s="20"/>
      <c r="F43" s="20" t="s">
        <v>62</v>
      </c>
      <c r="G43" s="93">
        <f>G37+G36+G41</f>
        <v>34752800</v>
      </c>
      <c r="H43" s="81"/>
      <c r="I43" s="81"/>
      <c r="J43" s="28"/>
    </row>
    <row r="44" spans="2:10" s="2" customFormat="1" ht="15.75" thickTop="1">
      <c r="B44" s="90"/>
      <c r="C44" s="20"/>
      <c r="D44" s="83"/>
      <c r="E44" s="20"/>
      <c r="F44" s="20"/>
      <c r="G44" s="83"/>
      <c r="H44" s="81"/>
      <c r="I44" s="81"/>
      <c r="J44" s="28"/>
    </row>
    <row r="45" spans="2:10" s="2" customFormat="1" ht="15">
      <c r="B45" s="90"/>
      <c r="C45" s="20" t="s">
        <v>7</v>
      </c>
      <c r="D45" s="83">
        <f>D28*D30</f>
        <v>3588000</v>
      </c>
      <c r="E45" s="20"/>
      <c r="F45" s="20"/>
      <c r="G45" s="83"/>
      <c r="H45" s="81"/>
      <c r="I45" s="81"/>
      <c r="J45" s="28"/>
    </row>
    <row r="46" spans="2:10" s="2" customFormat="1" ht="15">
      <c r="B46" s="90"/>
      <c r="C46" s="20"/>
      <c r="D46" s="83"/>
      <c r="E46" s="20"/>
      <c r="F46" s="20"/>
      <c r="G46" s="83"/>
      <c r="H46" s="81"/>
      <c r="I46" s="81"/>
      <c r="J46" s="28"/>
    </row>
    <row r="47" spans="2:10" s="2" customFormat="1" ht="15">
      <c r="B47" s="90"/>
      <c r="C47" s="20" t="s">
        <v>60</v>
      </c>
      <c r="D47" s="83">
        <f>D45*(1-D26)</f>
        <v>2152800</v>
      </c>
      <c r="E47" s="20"/>
      <c r="F47" s="20"/>
      <c r="G47" s="83"/>
      <c r="H47" s="81"/>
      <c r="I47" s="81"/>
      <c r="J47" s="28"/>
    </row>
    <row r="48" spans="2:10" s="2" customFormat="1" ht="15">
      <c r="B48" s="90"/>
      <c r="C48" s="20"/>
      <c r="D48" s="83"/>
      <c r="E48" s="20"/>
      <c r="F48" s="20"/>
      <c r="G48" s="83"/>
      <c r="H48" s="81"/>
      <c r="I48" s="81"/>
      <c r="J48" s="28"/>
    </row>
    <row r="49" spans="2:10" s="2" customFormat="1" ht="15.75">
      <c r="B49" s="90"/>
      <c r="C49" s="20" t="s">
        <v>64</v>
      </c>
      <c r="D49" s="95">
        <f>D43-G43</f>
        <v>2447200</v>
      </c>
      <c r="E49" s="20"/>
      <c r="F49" s="20"/>
      <c r="G49" s="83"/>
      <c r="H49" s="81"/>
      <c r="I49" s="81"/>
      <c r="J49" s="28"/>
    </row>
    <row r="50" spans="2:10" s="2" customFormat="1" ht="15.75">
      <c r="B50" s="90"/>
      <c r="C50" s="20"/>
      <c r="D50" s="96"/>
      <c r="E50" s="20"/>
      <c r="F50" s="20"/>
      <c r="G50" s="83"/>
      <c r="H50" s="81"/>
      <c r="I50" s="81"/>
      <c r="J50" s="28"/>
    </row>
    <row r="51" spans="2:10" s="2" customFormat="1" ht="15">
      <c r="B51" s="84" t="s">
        <v>65</v>
      </c>
      <c r="C51" s="20" t="s">
        <v>70</v>
      </c>
      <c r="D51" s="53">
        <f>(D18+D17)/(D19+D20)</f>
        <v>0.8235294117647058</v>
      </c>
      <c r="E51" s="20"/>
      <c r="F51" s="20"/>
      <c r="G51" s="83"/>
      <c r="H51" s="81"/>
      <c r="I51" s="81"/>
      <c r="J51" s="28"/>
    </row>
    <row r="52" spans="2:10" s="2" customFormat="1" ht="15">
      <c r="B52" s="84"/>
      <c r="C52" s="20" t="s">
        <v>67</v>
      </c>
      <c r="D52" s="53">
        <f>(D15+D16)/D8</f>
        <v>0.8157894736842105</v>
      </c>
      <c r="E52" s="20"/>
      <c r="F52" s="20"/>
      <c r="G52" s="83"/>
      <c r="H52" s="81"/>
      <c r="I52" s="81"/>
      <c r="J52" s="28"/>
    </row>
    <row r="53" spans="2:10" s="2" customFormat="1" ht="15.75">
      <c r="B53" s="90"/>
      <c r="C53" s="20"/>
      <c r="D53" s="96"/>
      <c r="E53" s="20"/>
      <c r="F53" s="20"/>
      <c r="G53" s="83"/>
      <c r="H53" s="81"/>
      <c r="I53" s="81"/>
      <c r="J53" s="28"/>
    </row>
    <row r="54" spans="2:10" s="2" customFormat="1" ht="15.75">
      <c r="B54" s="90"/>
      <c r="C54" s="20" t="s">
        <v>33</v>
      </c>
      <c r="D54" s="49">
        <f>(D28*(1-D26)*(1+D51))/(D52-(D28*(1-D26))*(1+D51))</f>
        <v>0.11797974483756413</v>
      </c>
      <c r="E54" s="20"/>
      <c r="F54" s="20"/>
      <c r="G54" s="83"/>
      <c r="H54" s="81"/>
      <c r="I54" s="81"/>
      <c r="J54" s="28"/>
    </row>
    <row r="55" spans="2:10" s="2" customFormat="1" ht="15.75">
      <c r="B55" s="90"/>
      <c r="C55" s="20"/>
      <c r="D55" s="96"/>
      <c r="E55" s="20"/>
      <c r="F55" s="20"/>
      <c r="G55" s="83"/>
      <c r="H55" s="81"/>
      <c r="I55" s="81"/>
      <c r="J55" s="28"/>
    </row>
    <row r="56" spans="2:10" s="2" customFormat="1" ht="15.75">
      <c r="B56" s="90"/>
      <c r="C56" s="20" t="s">
        <v>74</v>
      </c>
      <c r="D56" s="96"/>
      <c r="E56" s="20"/>
      <c r="F56" s="20"/>
      <c r="G56" s="83"/>
      <c r="H56" s="81"/>
      <c r="I56" s="81"/>
      <c r="J56" s="28"/>
    </row>
    <row r="57" spans="2:10" s="2" customFormat="1" ht="15">
      <c r="B57" s="90"/>
      <c r="C57" s="20" t="s">
        <v>75</v>
      </c>
      <c r="D57" s="53">
        <f>D12/(D19+D20)</f>
        <v>0.17588235294117646</v>
      </c>
      <c r="E57" s="20"/>
      <c r="F57" s="20"/>
      <c r="G57" s="83"/>
      <c r="H57" s="81"/>
      <c r="I57" s="81"/>
      <c r="J57" s="28"/>
    </row>
    <row r="58" spans="2:10" s="2" customFormat="1" ht="15">
      <c r="B58" s="90"/>
      <c r="C58" s="20" t="s">
        <v>76</v>
      </c>
      <c r="D58" s="98">
        <f>1-D26</f>
        <v>0.6</v>
      </c>
      <c r="E58" s="20"/>
      <c r="F58" s="20"/>
      <c r="G58" s="83"/>
      <c r="H58" s="81"/>
      <c r="I58" s="81"/>
      <c r="J58" s="28"/>
    </row>
    <row r="59" spans="2:10" s="2" customFormat="1" ht="15">
      <c r="B59" s="90"/>
      <c r="C59" s="20"/>
      <c r="D59" s="98"/>
      <c r="E59" s="20"/>
      <c r="F59" s="20"/>
      <c r="G59" s="83"/>
      <c r="H59" s="81"/>
      <c r="I59" s="81"/>
      <c r="J59" s="28"/>
    </row>
    <row r="60" spans="2:10" s="2" customFormat="1" ht="15.75">
      <c r="B60" s="90"/>
      <c r="C60" s="20" t="s">
        <v>77</v>
      </c>
      <c r="D60" s="49">
        <f>(D57*D58)/(1-(D57*D58))</f>
        <v>0.11797974483756411</v>
      </c>
      <c r="E60" s="20"/>
      <c r="F60" s="20"/>
      <c r="G60" s="83"/>
      <c r="H60" s="81"/>
      <c r="I60" s="81"/>
      <c r="J60" s="28"/>
    </row>
    <row r="61" spans="2:10" s="2" customFormat="1" ht="15.75">
      <c r="B61" s="90"/>
      <c r="C61" s="20"/>
      <c r="D61" s="48"/>
      <c r="E61" s="20"/>
      <c r="F61" s="20"/>
      <c r="G61" s="83"/>
      <c r="H61" s="81"/>
      <c r="I61" s="81"/>
      <c r="J61" s="28"/>
    </row>
    <row r="62" spans="2:10" s="2" customFormat="1" ht="15">
      <c r="B62" s="84" t="s">
        <v>78</v>
      </c>
      <c r="C62" s="20" t="s">
        <v>79</v>
      </c>
      <c r="D62" s="100"/>
      <c r="E62" s="20"/>
      <c r="F62" s="20"/>
      <c r="G62" s="83"/>
      <c r="H62" s="81"/>
      <c r="I62" s="81"/>
      <c r="J62" s="28"/>
    </row>
    <row r="63" spans="2:10" s="2" customFormat="1" ht="15">
      <c r="B63" s="84"/>
      <c r="C63" s="20"/>
      <c r="D63" s="100"/>
      <c r="E63" s="20"/>
      <c r="F63" s="20"/>
      <c r="G63" s="83"/>
      <c r="H63" s="81"/>
      <c r="I63" s="81"/>
      <c r="J63" s="28"/>
    </row>
    <row r="64" spans="2:10" s="2" customFormat="1" ht="15">
      <c r="B64" s="84"/>
      <c r="C64" s="20" t="s">
        <v>80</v>
      </c>
      <c r="D64" s="79">
        <f>D12*(1+D7)</f>
        <v>3588000</v>
      </c>
      <c r="E64" s="20"/>
      <c r="F64" s="20"/>
      <c r="G64" s="83"/>
      <c r="H64" s="81"/>
      <c r="I64" s="81"/>
      <c r="J64" s="28"/>
    </row>
    <row r="65" spans="2:10" s="2" customFormat="1" ht="15.75">
      <c r="B65" s="90"/>
      <c r="C65" s="20"/>
      <c r="D65" s="48"/>
      <c r="E65" s="20"/>
      <c r="F65" s="20"/>
      <c r="G65" s="83"/>
      <c r="H65" s="81"/>
      <c r="I65" s="81"/>
      <c r="J65" s="28"/>
    </row>
    <row r="66" spans="2:10" s="2" customFormat="1" ht="15">
      <c r="B66" s="90"/>
      <c r="C66" s="92" t="s">
        <v>6</v>
      </c>
      <c r="D66" s="20"/>
      <c r="E66" s="20"/>
      <c r="F66" s="92" t="s">
        <v>59</v>
      </c>
      <c r="G66" s="20"/>
      <c r="H66" s="81"/>
      <c r="I66" s="81"/>
      <c r="J66" s="28"/>
    </row>
    <row r="67" spans="2:10" s="2" customFormat="1" ht="15">
      <c r="B67" s="90"/>
      <c r="C67" s="20" t="s">
        <v>3</v>
      </c>
      <c r="D67" s="83">
        <f>D36</f>
        <v>10800000</v>
      </c>
      <c r="E67" s="20"/>
      <c r="F67" s="20" t="s">
        <v>66</v>
      </c>
      <c r="G67" s="83">
        <f>G36</f>
        <v>9600000</v>
      </c>
      <c r="H67" s="81"/>
      <c r="I67" s="81"/>
      <c r="J67" s="28"/>
    </row>
    <row r="68" spans="2:10" s="2" customFormat="1" ht="15">
      <c r="B68" s="90"/>
      <c r="C68" s="36"/>
      <c r="D68" s="47"/>
      <c r="E68" s="20"/>
      <c r="F68" s="20" t="s">
        <v>18</v>
      </c>
      <c r="G68" s="83">
        <f>G37</f>
        <v>6000000</v>
      </c>
      <c r="H68" s="81"/>
      <c r="I68" s="81"/>
      <c r="J68" s="28"/>
    </row>
    <row r="69" spans="2:10" s="2" customFormat="1" ht="15">
      <c r="B69" s="90"/>
      <c r="C69" s="20"/>
      <c r="D69" s="47"/>
      <c r="E69" s="20"/>
      <c r="F69" s="20"/>
      <c r="G69" s="47"/>
      <c r="H69" s="81"/>
      <c r="I69" s="81"/>
      <c r="J69" s="28"/>
    </row>
    <row r="70" spans="2:10" s="2" customFormat="1" ht="15">
      <c r="B70" s="90"/>
      <c r="C70" s="20" t="s">
        <v>17</v>
      </c>
      <c r="D70" s="94">
        <f>D39</f>
        <v>26400000</v>
      </c>
      <c r="E70" s="20"/>
      <c r="F70" s="20" t="s">
        <v>26</v>
      </c>
      <c r="G70" s="83">
        <f>G39</f>
        <v>4000000</v>
      </c>
      <c r="H70" s="81"/>
      <c r="I70" s="81"/>
      <c r="J70" s="28"/>
    </row>
    <row r="71" spans="2:10" s="2" customFormat="1" ht="15">
      <c r="B71" s="90"/>
      <c r="C71" s="20"/>
      <c r="D71" s="47"/>
      <c r="E71" s="20"/>
      <c r="F71" s="20" t="s">
        <v>69</v>
      </c>
      <c r="G71" s="94">
        <f>D20+D64</f>
        <v>16588000</v>
      </c>
      <c r="H71" s="81"/>
      <c r="I71" s="81"/>
      <c r="J71" s="28"/>
    </row>
    <row r="72" spans="2:10" s="2" customFormat="1" ht="15">
      <c r="B72" s="90"/>
      <c r="C72" s="20"/>
      <c r="D72" s="47"/>
      <c r="E72" s="20"/>
      <c r="F72" s="20" t="s">
        <v>61</v>
      </c>
      <c r="G72" s="83">
        <f>SUM(G70:G71)</f>
        <v>20588000</v>
      </c>
      <c r="H72" s="81"/>
      <c r="I72" s="81"/>
      <c r="J72" s="28"/>
    </row>
    <row r="73" spans="2:10" s="2" customFormat="1" ht="15">
      <c r="B73" s="90"/>
      <c r="C73" s="20"/>
      <c r="D73" s="47"/>
      <c r="E73" s="20"/>
      <c r="F73" s="20"/>
      <c r="G73" s="47"/>
      <c r="H73" s="81"/>
      <c r="I73" s="81"/>
      <c r="J73" s="28"/>
    </row>
    <row r="74" spans="2:10" s="2" customFormat="1" ht="15.75" thickBot="1">
      <c r="B74" s="90"/>
      <c r="C74" s="20" t="s">
        <v>30</v>
      </c>
      <c r="D74" s="93">
        <f>D67+D70</f>
        <v>37200000</v>
      </c>
      <c r="E74" s="20"/>
      <c r="F74" s="20" t="s">
        <v>62</v>
      </c>
      <c r="G74" s="93">
        <f>G68+G67+G72</f>
        <v>36188000</v>
      </c>
      <c r="H74" s="81"/>
      <c r="I74" s="81"/>
      <c r="J74" s="28"/>
    </row>
    <row r="75" spans="2:10" s="2" customFormat="1" ht="15.75" thickTop="1">
      <c r="B75" s="90"/>
      <c r="C75" s="20"/>
      <c r="D75" s="83"/>
      <c r="E75" s="20"/>
      <c r="F75" s="20"/>
      <c r="G75" s="83"/>
      <c r="H75" s="81"/>
      <c r="I75" s="81"/>
      <c r="J75" s="28"/>
    </row>
    <row r="76" spans="2:10" s="2" customFormat="1" ht="15.75">
      <c r="B76" s="90"/>
      <c r="C76" s="20" t="s">
        <v>64</v>
      </c>
      <c r="D76" s="95">
        <f>D74-G74</f>
        <v>1012000</v>
      </c>
      <c r="E76" s="20"/>
      <c r="F76" s="20"/>
      <c r="G76" s="83"/>
      <c r="H76" s="81"/>
      <c r="I76" s="81"/>
      <c r="J76" s="28"/>
    </row>
    <row r="77" spans="2:10" ht="15.75" thickBot="1">
      <c r="B77" s="91"/>
      <c r="C77" s="31"/>
      <c r="D77" s="33"/>
      <c r="E77" s="31"/>
      <c r="F77" s="31"/>
      <c r="G77" s="31"/>
      <c r="H77" s="31"/>
      <c r="I77" s="31"/>
      <c r="J77" s="32"/>
    </row>
  </sheetData>
  <sheetProtection/>
  <printOptions/>
  <pageMargins left="0.75" right="0.75" top="1" bottom="1" header="0.5" footer="0.5"/>
  <pageSetup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69"/>
  <sheetViews>
    <sheetView tabSelected="1" zoomScalePageLayoutView="0" workbookViewId="0" topLeftCell="A48">
      <selection activeCell="I72" sqref="I72"/>
    </sheetView>
  </sheetViews>
  <sheetFormatPr defaultColWidth="9.140625" defaultRowHeight="12.75"/>
  <cols>
    <col min="2" max="2" width="3.140625" style="0" customWidth="1"/>
    <col min="3" max="3" width="28.57421875" style="0" customWidth="1"/>
    <col min="4" max="4" width="16.28125" style="2" customWidth="1"/>
    <col min="5" max="5" width="3.00390625" style="0" customWidth="1"/>
    <col min="6" max="6" width="3.140625" style="0" customWidth="1"/>
    <col min="7" max="7" width="3.00390625" style="0" customWidth="1"/>
    <col min="8" max="8" width="9.00390625" style="0" customWidth="1"/>
    <col min="9" max="9" width="14.00390625" style="0" customWidth="1"/>
    <col min="10" max="10" width="14.28125" style="0" customWidth="1"/>
    <col min="11" max="14" width="3.140625" style="0" customWidth="1"/>
    <col min="15" max="15" width="14.421875" style="0" customWidth="1"/>
    <col min="16" max="16" width="13.421875" style="0" customWidth="1"/>
    <col min="17" max="17" width="3.140625" style="0" customWidth="1"/>
  </cols>
  <sheetData>
    <row r="1" ht="18">
      <c r="C1" s="1" t="s">
        <v>56</v>
      </c>
    </row>
    <row r="2" ht="15">
      <c r="C2" s="2" t="s">
        <v>86</v>
      </c>
    </row>
    <row r="4" spans="3:16" ht="15">
      <c r="C4" s="3" t="s">
        <v>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3:16" ht="15.75" thickBot="1">
      <c r="C5" s="4"/>
      <c r="D5" s="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15">
      <c r="B6" s="6"/>
      <c r="C6" s="7"/>
      <c r="D6" s="8"/>
      <c r="E6" s="9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ht="15.75">
      <c r="B7" s="10"/>
      <c r="C7" s="68" t="s">
        <v>81</v>
      </c>
      <c r="D7" s="11"/>
      <c r="E7" s="1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5.75">
      <c r="B8" s="10"/>
      <c r="C8" s="68" t="s">
        <v>50</v>
      </c>
      <c r="D8" s="11"/>
      <c r="E8" s="1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ht="15.75">
      <c r="B9" s="10"/>
      <c r="C9" s="68" t="s">
        <v>51</v>
      </c>
      <c r="D9" s="11"/>
      <c r="E9" s="1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ht="15">
      <c r="B10" s="10"/>
      <c r="C10" s="67"/>
      <c r="D10" s="11"/>
      <c r="E10" s="1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ht="15">
      <c r="B11" s="10"/>
      <c r="C11" s="11" t="s">
        <v>4</v>
      </c>
      <c r="D11" s="69">
        <v>905000</v>
      </c>
      <c r="E11" s="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ht="15">
      <c r="B12" s="10"/>
      <c r="C12" s="11" t="s">
        <v>5</v>
      </c>
      <c r="D12" s="70">
        <v>710000</v>
      </c>
      <c r="E12" s="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ht="15">
      <c r="B13" s="10"/>
      <c r="C13" s="11" t="s">
        <v>36</v>
      </c>
      <c r="D13" s="70">
        <v>12000</v>
      </c>
      <c r="E13" s="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ht="15">
      <c r="B14" s="10"/>
      <c r="C14" s="11" t="s">
        <v>37</v>
      </c>
      <c r="D14" s="70">
        <v>19700</v>
      </c>
      <c r="E14" s="1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ht="15">
      <c r="B15" s="10"/>
      <c r="C15" s="11" t="s">
        <v>20</v>
      </c>
      <c r="D15" s="70">
        <v>25000</v>
      </c>
      <c r="E15" s="1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ht="15">
      <c r="B16" s="10"/>
      <c r="C16" s="11" t="s">
        <v>34</v>
      </c>
      <c r="D16" s="70">
        <v>43000</v>
      </c>
      <c r="E16" s="1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ht="15">
      <c r="B17" s="10"/>
      <c r="C17" s="11" t="s">
        <v>22</v>
      </c>
      <c r="D17" s="70">
        <v>76000</v>
      </c>
      <c r="E17" s="1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ht="15">
      <c r="B18" s="10"/>
      <c r="C18" s="11" t="s">
        <v>23</v>
      </c>
      <c r="D18" s="70">
        <v>364000</v>
      </c>
      <c r="E18" s="1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15">
      <c r="B19" s="10"/>
      <c r="C19" s="11" t="s">
        <v>24</v>
      </c>
      <c r="D19" s="70">
        <v>65000</v>
      </c>
      <c r="E19" s="1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ht="15">
      <c r="B20" s="10"/>
      <c r="C20" s="11" t="s">
        <v>25</v>
      </c>
      <c r="D20" s="70">
        <v>9000</v>
      </c>
      <c r="E20" s="1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ht="15">
      <c r="B21" s="10"/>
      <c r="C21" s="11" t="s">
        <v>18</v>
      </c>
      <c r="D21" s="70">
        <v>156000</v>
      </c>
      <c r="E21" s="1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15">
      <c r="B22" s="10"/>
      <c r="C22" s="11" t="s">
        <v>26</v>
      </c>
      <c r="D22" s="70">
        <v>21000</v>
      </c>
      <c r="E22" s="1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ht="15">
      <c r="B23" s="10"/>
      <c r="C23" s="11" t="s">
        <v>27</v>
      </c>
      <c r="D23" s="70">
        <v>257000</v>
      </c>
      <c r="E23" s="1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15">
      <c r="B24" s="10"/>
      <c r="C24" s="11" t="s">
        <v>85</v>
      </c>
      <c r="D24" s="70">
        <v>106145</v>
      </c>
      <c r="E24" s="1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ht="15">
      <c r="B25" s="10"/>
      <c r="C25" s="11" t="s">
        <v>10</v>
      </c>
      <c r="D25" s="70">
        <v>42458</v>
      </c>
      <c r="E25" s="1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ht="15">
      <c r="B26" s="10"/>
      <c r="C26" s="11" t="s">
        <v>35</v>
      </c>
      <c r="D26" s="70">
        <v>63687</v>
      </c>
      <c r="E26" s="1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ht="15">
      <c r="B27" s="10"/>
      <c r="C27" s="11"/>
      <c r="D27" s="70"/>
      <c r="E27" s="1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16" ht="15">
      <c r="B28" s="10"/>
      <c r="C28" s="11" t="s">
        <v>8</v>
      </c>
      <c r="D28" s="72">
        <v>0.2</v>
      </c>
      <c r="E28" s="1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ht="15">
      <c r="B29" s="10"/>
      <c r="C29" s="11" t="s">
        <v>46</v>
      </c>
      <c r="D29" s="71">
        <v>1</v>
      </c>
      <c r="E29" s="1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ht="15">
      <c r="B30" s="10"/>
      <c r="C30" s="11" t="s">
        <v>14</v>
      </c>
      <c r="D30" s="71">
        <v>0.35</v>
      </c>
      <c r="E30" s="1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ht="15.75" thickBot="1">
      <c r="B31" s="13"/>
      <c r="C31" s="14"/>
      <c r="D31" s="14"/>
      <c r="E31" s="1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3:16" ht="15">
      <c r="C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3:16" ht="15">
      <c r="C33" s="3" t="s">
        <v>2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3:16" ht="15.75" thickBot="1">
      <c r="C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7" ht="15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</row>
    <row r="36" spans="2:17" ht="15">
      <c r="B36" s="19"/>
      <c r="C36" s="20" t="s">
        <v>39</v>
      </c>
      <c r="D36" s="45">
        <f>D25/D24</f>
        <v>0.4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3"/>
    </row>
    <row r="37" spans="2:17" ht="15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3"/>
    </row>
    <row r="38" spans="2:17" s="2" customFormat="1" ht="15">
      <c r="B38" s="25"/>
      <c r="C38" s="37" t="s">
        <v>84</v>
      </c>
      <c r="D38" s="26"/>
      <c r="E38" s="20"/>
      <c r="F38" s="26"/>
      <c r="G38" s="26"/>
      <c r="H38" s="26"/>
      <c r="I38" s="26" t="s">
        <v>6</v>
      </c>
      <c r="J38" s="26"/>
      <c r="K38" s="26"/>
      <c r="L38" s="26"/>
      <c r="M38" s="26" t="s">
        <v>45</v>
      </c>
      <c r="N38" s="26"/>
      <c r="O38" s="26"/>
      <c r="P38" s="60"/>
      <c r="Q38" s="28"/>
    </row>
    <row r="39" spans="2:17" ht="15">
      <c r="B39" s="19"/>
      <c r="C39" s="20" t="s">
        <v>4</v>
      </c>
      <c r="D39" s="22">
        <f>D11*(1+D28)</f>
        <v>1086000</v>
      </c>
      <c r="E39" s="24"/>
      <c r="F39" s="20" t="s">
        <v>3</v>
      </c>
      <c r="G39" s="20"/>
      <c r="H39" s="20"/>
      <c r="I39" s="20"/>
      <c r="J39" s="44"/>
      <c r="K39" s="44"/>
      <c r="L39" s="20" t="s">
        <v>1</v>
      </c>
      <c r="M39" s="20"/>
      <c r="N39" s="20"/>
      <c r="O39" s="20"/>
      <c r="P39" s="41"/>
      <c r="Q39" s="23"/>
    </row>
    <row r="40" spans="2:17" s="2" customFormat="1" ht="15">
      <c r="B40" s="25"/>
      <c r="C40" s="20" t="s">
        <v>5</v>
      </c>
      <c r="D40" s="38">
        <f>D12*(1+D28)</f>
        <v>852000</v>
      </c>
      <c r="E40" s="27"/>
      <c r="F40" s="20"/>
      <c r="G40" s="20" t="s">
        <v>20</v>
      </c>
      <c r="H40" s="20"/>
      <c r="I40" s="20"/>
      <c r="J40" s="22">
        <f>D15*(1+D28)</f>
        <v>30000</v>
      </c>
      <c r="K40" s="22"/>
      <c r="L40" s="20"/>
      <c r="M40" s="20" t="s">
        <v>24</v>
      </c>
      <c r="N40" s="20"/>
      <c r="O40" s="20"/>
      <c r="P40" s="22">
        <f>D19*(1+D28)</f>
        <v>78000</v>
      </c>
      <c r="Q40" s="28"/>
    </row>
    <row r="41" spans="2:17" s="2" customFormat="1" ht="15">
      <c r="B41" s="25"/>
      <c r="C41" s="20" t="s">
        <v>36</v>
      </c>
      <c r="D41" s="39">
        <f>D13*(1+D28)</f>
        <v>14400</v>
      </c>
      <c r="E41" s="27"/>
      <c r="F41" s="20"/>
      <c r="G41" s="20" t="s">
        <v>21</v>
      </c>
      <c r="H41" s="20"/>
      <c r="I41" s="20"/>
      <c r="J41" s="38">
        <f>D16*(1+D28)</f>
        <v>51600</v>
      </c>
      <c r="K41" s="38"/>
      <c r="L41" s="20"/>
      <c r="M41" s="20" t="s">
        <v>25</v>
      </c>
      <c r="N41" s="20"/>
      <c r="O41" s="20"/>
      <c r="P41" s="73">
        <f>D20</f>
        <v>9000</v>
      </c>
      <c r="Q41" s="28"/>
    </row>
    <row r="42" spans="2:17" s="2" customFormat="1" ht="15">
      <c r="B42" s="25"/>
      <c r="C42" s="20" t="s">
        <v>38</v>
      </c>
      <c r="D42" s="54">
        <f>D39-D40-D41</f>
        <v>219600</v>
      </c>
      <c r="E42" s="27"/>
      <c r="F42" s="20"/>
      <c r="G42" s="20" t="s">
        <v>22</v>
      </c>
      <c r="H42" s="20"/>
      <c r="I42" s="20"/>
      <c r="J42" s="39">
        <f>D17*(1+D28)</f>
        <v>91200</v>
      </c>
      <c r="K42" s="38"/>
      <c r="L42" s="20"/>
      <c r="M42" s="20"/>
      <c r="N42" s="20" t="s">
        <v>9</v>
      </c>
      <c r="O42" s="20"/>
      <c r="P42" s="22">
        <f>P40+P41</f>
        <v>87000</v>
      </c>
      <c r="Q42" s="28"/>
    </row>
    <row r="43" spans="2:17" s="2" customFormat="1" ht="15">
      <c r="B43" s="25"/>
      <c r="C43" s="20" t="s">
        <v>37</v>
      </c>
      <c r="D43" s="39">
        <f>D14</f>
        <v>19700</v>
      </c>
      <c r="E43" s="27"/>
      <c r="F43" s="20"/>
      <c r="G43" s="20"/>
      <c r="H43" s="20" t="s">
        <v>9</v>
      </c>
      <c r="I43" s="20"/>
      <c r="J43" s="22">
        <f>J40+J41+J42</f>
        <v>172800</v>
      </c>
      <c r="K43" s="22"/>
      <c r="L43" s="20" t="s">
        <v>18</v>
      </c>
      <c r="M43" s="20"/>
      <c r="N43" s="20"/>
      <c r="O43" s="20"/>
      <c r="P43" s="73">
        <f>D21</f>
        <v>156000</v>
      </c>
      <c r="Q43" s="28"/>
    </row>
    <row r="44" spans="2:17" s="2" customFormat="1" ht="15">
      <c r="B44" s="25"/>
      <c r="C44" s="20" t="s">
        <v>15</v>
      </c>
      <c r="D44" s="54">
        <f>D42-D43</f>
        <v>199900</v>
      </c>
      <c r="E44" s="27"/>
      <c r="F44" s="20" t="s">
        <v>17</v>
      </c>
      <c r="G44" s="20"/>
      <c r="H44" s="20"/>
      <c r="I44" s="20"/>
      <c r="J44" s="57"/>
      <c r="K44" s="57"/>
      <c r="L44" s="20"/>
      <c r="M44" s="20"/>
      <c r="N44" s="20"/>
      <c r="O44" s="20"/>
      <c r="P44" s="74"/>
      <c r="Q44" s="28"/>
    </row>
    <row r="45" spans="2:17" s="2" customFormat="1" ht="15">
      <c r="B45" s="25"/>
      <c r="C45" s="20" t="s">
        <v>16</v>
      </c>
      <c r="D45" s="39">
        <f>D44*D30</f>
        <v>69965</v>
      </c>
      <c r="E45" s="27"/>
      <c r="F45" s="20"/>
      <c r="G45" s="20" t="s">
        <v>40</v>
      </c>
      <c r="H45" s="20"/>
      <c r="I45" s="20"/>
      <c r="J45" s="56"/>
      <c r="K45" s="56"/>
      <c r="L45" s="20" t="s">
        <v>28</v>
      </c>
      <c r="M45" s="20"/>
      <c r="N45" s="20"/>
      <c r="O45" s="20"/>
      <c r="P45" s="75"/>
      <c r="Q45" s="28"/>
    </row>
    <row r="46" spans="2:17" s="2" customFormat="1" ht="15.75" thickBot="1">
      <c r="B46" s="25"/>
      <c r="C46" s="20" t="s">
        <v>7</v>
      </c>
      <c r="D46" s="40">
        <f>D44-D45</f>
        <v>129935</v>
      </c>
      <c r="E46" s="20"/>
      <c r="F46" s="20"/>
      <c r="G46" s="20" t="s">
        <v>41</v>
      </c>
      <c r="H46" s="20"/>
      <c r="I46" s="20"/>
      <c r="J46" s="39">
        <f>D18*(1+D28)</f>
        <v>436800</v>
      </c>
      <c r="K46" s="38"/>
      <c r="L46" s="20"/>
      <c r="M46" s="20" t="s">
        <v>42</v>
      </c>
      <c r="N46" s="20"/>
      <c r="O46" s="20"/>
      <c r="P46" s="76">
        <f>D22</f>
        <v>21000</v>
      </c>
      <c r="Q46" s="28"/>
    </row>
    <row r="47" spans="2:17" ht="15.75" thickTop="1">
      <c r="B47" s="19"/>
      <c r="C47" s="20" t="s">
        <v>10</v>
      </c>
      <c r="D47" s="22">
        <f>D46*D36</f>
        <v>51974</v>
      </c>
      <c r="E47" s="21"/>
      <c r="F47" s="20"/>
      <c r="G47" s="20"/>
      <c r="H47" s="20"/>
      <c r="I47" s="20"/>
      <c r="J47" s="56"/>
      <c r="K47" s="56"/>
      <c r="L47" s="20"/>
      <c r="M47" s="20" t="s">
        <v>43</v>
      </c>
      <c r="N47" s="20"/>
      <c r="O47" s="20"/>
      <c r="P47" s="22"/>
      <c r="Q47" s="23"/>
    </row>
    <row r="48" spans="2:17" ht="15">
      <c r="B48" s="19"/>
      <c r="C48" s="20" t="s">
        <v>11</v>
      </c>
      <c r="D48" s="38">
        <f>D46-D47</f>
        <v>77961</v>
      </c>
      <c r="E48" s="21"/>
      <c r="F48" s="20"/>
      <c r="G48" s="20"/>
      <c r="H48" s="20"/>
      <c r="I48" s="20"/>
      <c r="J48" s="56"/>
      <c r="K48" s="56"/>
      <c r="L48" s="20"/>
      <c r="M48" s="20" t="s">
        <v>27</v>
      </c>
      <c r="N48" s="20"/>
      <c r="O48" s="20"/>
      <c r="P48" s="39">
        <f>D23+D48</f>
        <v>334961</v>
      </c>
      <c r="Q48" s="23"/>
    </row>
    <row r="49" spans="2:17" ht="15">
      <c r="B49" s="19"/>
      <c r="C49" s="20"/>
      <c r="D49" s="29"/>
      <c r="E49" s="29"/>
      <c r="F49" s="20"/>
      <c r="G49" s="20"/>
      <c r="H49" s="20"/>
      <c r="I49" s="20"/>
      <c r="J49" s="57"/>
      <c r="K49" s="57"/>
      <c r="L49" s="20"/>
      <c r="M49" s="20"/>
      <c r="N49" s="20" t="s">
        <v>9</v>
      </c>
      <c r="O49" s="20"/>
      <c r="P49" s="59">
        <f>P46+P48</f>
        <v>355961</v>
      </c>
      <c r="Q49" s="23"/>
    </row>
    <row r="50" spans="2:17" ht="15">
      <c r="B50" s="19"/>
      <c r="C50" s="20"/>
      <c r="D50" s="29"/>
      <c r="E50" s="29"/>
      <c r="F50" s="20"/>
      <c r="G50" s="20"/>
      <c r="H50" s="20"/>
      <c r="I50" s="20"/>
      <c r="J50" s="57"/>
      <c r="K50" s="57"/>
      <c r="L50" s="20" t="s">
        <v>29</v>
      </c>
      <c r="M50" s="20"/>
      <c r="N50" s="20"/>
      <c r="O50" s="20"/>
      <c r="P50" s="20"/>
      <c r="Q50" s="23"/>
    </row>
    <row r="51" spans="2:17" ht="15.75" thickBot="1">
      <c r="B51" s="19"/>
      <c r="C51" s="20"/>
      <c r="D51" s="29"/>
      <c r="E51" s="29"/>
      <c r="F51" s="20" t="s">
        <v>30</v>
      </c>
      <c r="G51" s="20"/>
      <c r="H51" s="20"/>
      <c r="I51" s="20"/>
      <c r="J51" s="58">
        <f>J43+J46</f>
        <v>609600</v>
      </c>
      <c r="K51" s="22"/>
      <c r="L51" s="20" t="s">
        <v>44</v>
      </c>
      <c r="M51" s="20"/>
      <c r="N51" s="20"/>
      <c r="O51" s="20"/>
      <c r="P51" s="58">
        <f>P49+P43+P42</f>
        <v>598961</v>
      </c>
      <c r="Q51" s="23"/>
    </row>
    <row r="52" spans="2:17" ht="15.75" thickTop="1">
      <c r="B52" s="19"/>
      <c r="C52" s="20"/>
      <c r="D52" s="29"/>
      <c r="E52" s="2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3"/>
    </row>
    <row r="53" spans="2:17" ht="15.75">
      <c r="B53" s="19"/>
      <c r="C53" s="20" t="s">
        <v>13</v>
      </c>
      <c r="D53" s="34"/>
      <c r="E53" s="20"/>
      <c r="F53" s="35"/>
      <c r="G53" s="35"/>
      <c r="H53" s="35"/>
      <c r="I53" s="43">
        <f>J51-P51</f>
        <v>10639</v>
      </c>
      <c r="J53" s="55"/>
      <c r="K53" s="55"/>
      <c r="L53" s="42"/>
      <c r="M53" s="42"/>
      <c r="N53" s="42"/>
      <c r="O53" s="42"/>
      <c r="P53" s="20"/>
      <c r="Q53" s="23"/>
    </row>
    <row r="54" spans="2:17" ht="15.75" thickBot="1">
      <c r="B54" s="30"/>
      <c r="C54" s="31"/>
      <c r="D54" s="33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2"/>
    </row>
    <row r="55" ht="15.75" thickBot="1"/>
    <row r="56" spans="2:11" ht="16.5" customHeight="1">
      <c r="B56" s="16"/>
      <c r="C56" s="77" t="s">
        <v>82</v>
      </c>
      <c r="D56" s="17"/>
      <c r="E56" s="50"/>
      <c r="F56" s="50"/>
      <c r="G56" s="50"/>
      <c r="H56" s="50"/>
      <c r="I56" s="50"/>
      <c r="J56" s="50"/>
      <c r="K56" s="18"/>
    </row>
    <row r="57" spans="2:11" s="2" customFormat="1" ht="15">
      <c r="B57" s="25"/>
      <c r="C57" s="20" t="s">
        <v>53</v>
      </c>
      <c r="D57" s="20"/>
      <c r="E57" s="20"/>
      <c r="F57" s="20"/>
      <c r="G57" s="20"/>
      <c r="H57" s="20"/>
      <c r="I57" s="22">
        <f>D11/D29</f>
        <v>905000</v>
      </c>
      <c r="J57" s="20"/>
      <c r="K57" s="28"/>
    </row>
    <row r="58" spans="2:11" s="2" customFormat="1" ht="15">
      <c r="B58" s="25"/>
      <c r="C58" s="20" t="s">
        <v>47</v>
      </c>
      <c r="D58" s="20"/>
      <c r="E58" s="20"/>
      <c r="F58" s="20"/>
      <c r="G58" s="20"/>
      <c r="H58" s="20"/>
      <c r="I58" s="20"/>
      <c r="J58" s="63">
        <f>D18/I57</f>
        <v>0.4022099447513812</v>
      </c>
      <c r="K58" s="28"/>
    </row>
    <row r="59" spans="2:11" s="2" customFormat="1" ht="15">
      <c r="B59" s="25"/>
      <c r="C59" s="20" t="s">
        <v>54</v>
      </c>
      <c r="D59" s="20"/>
      <c r="E59" s="20"/>
      <c r="F59" s="20"/>
      <c r="G59" s="20"/>
      <c r="H59" s="20"/>
      <c r="I59" s="22">
        <f>J58*D39</f>
        <v>436800</v>
      </c>
      <c r="J59" s="20"/>
      <c r="K59" s="28"/>
    </row>
    <row r="60" spans="2:11" s="2" customFormat="1" ht="15">
      <c r="B60" s="25"/>
      <c r="C60" s="20"/>
      <c r="D60" s="20"/>
      <c r="E60" s="20"/>
      <c r="F60" s="20"/>
      <c r="G60" s="20"/>
      <c r="H60" s="20"/>
      <c r="I60" s="20"/>
      <c r="J60" s="20"/>
      <c r="K60" s="28"/>
    </row>
    <row r="61" spans="2:11" s="2" customFormat="1" ht="15.75">
      <c r="B61" s="25"/>
      <c r="C61" s="20" t="s">
        <v>48</v>
      </c>
      <c r="D61" s="64">
        <f>(I59+J43)-P51</f>
        <v>10639</v>
      </c>
      <c r="E61" s="20"/>
      <c r="F61" s="20"/>
      <c r="G61" s="20"/>
      <c r="H61" s="20"/>
      <c r="I61" s="20"/>
      <c r="J61" s="20"/>
      <c r="K61" s="28"/>
    </row>
    <row r="62" spans="2:11" s="2" customFormat="1" ht="15.75" thickBot="1">
      <c r="B62" s="61"/>
      <c r="C62" s="33"/>
      <c r="D62" s="33"/>
      <c r="E62" s="33"/>
      <c r="F62" s="33"/>
      <c r="G62" s="33"/>
      <c r="H62" s="33"/>
      <c r="I62" s="33"/>
      <c r="J62" s="33"/>
      <c r="K62" s="62"/>
    </row>
    <row r="63" s="2" customFormat="1" ht="15.75" thickBot="1"/>
    <row r="64" spans="2:5" s="2" customFormat="1" ht="15.75">
      <c r="B64" s="65"/>
      <c r="C64" s="77" t="s">
        <v>83</v>
      </c>
      <c r="D64" s="17"/>
      <c r="E64" s="51"/>
    </row>
    <row r="65" spans="2:5" s="2" customFormat="1" ht="15">
      <c r="B65" s="25"/>
      <c r="C65" s="20" t="s">
        <v>52</v>
      </c>
      <c r="D65" s="66">
        <f>(D19+D20+D21)/(D22+D23)</f>
        <v>0.8273381294964028</v>
      </c>
      <c r="E65" s="28"/>
    </row>
    <row r="66" spans="2:5" s="2" customFormat="1" ht="15">
      <c r="B66" s="25"/>
      <c r="C66" s="20" t="s">
        <v>49</v>
      </c>
      <c r="D66" s="44">
        <f>D65*P49</f>
        <v>294500.107913669</v>
      </c>
      <c r="E66" s="28"/>
    </row>
    <row r="67" spans="2:5" s="2" customFormat="1" ht="15">
      <c r="B67" s="25"/>
      <c r="C67" s="20"/>
      <c r="D67" s="20"/>
      <c r="E67" s="28"/>
    </row>
    <row r="68" spans="2:5" s="2" customFormat="1" ht="15.75">
      <c r="B68" s="25"/>
      <c r="C68" s="20" t="s">
        <v>12</v>
      </c>
      <c r="D68" s="52">
        <f>J51-(D66+P49)</f>
        <v>-40861.107913668966</v>
      </c>
      <c r="E68" s="28"/>
    </row>
    <row r="69" spans="2:5" s="2" customFormat="1" ht="15.75" thickBot="1">
      <c r="B69" s="61"/>
      <c r="C69" s="33"/>
      <c r="D69" s="33"/>
      <c r="E69" s="62"/>
    </row>
  </sheetData>
  <sheetProtection/>
  <printOptions/>
  <pageMargins left="0.75" right="0.75" top="1" bottom="1" header="0.5" footer="0.5"/>
  <pageSetup horizontalDpi="300" verticalDpi="3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user</cp:lastModifiedBy>
  <cp:lastPrinted>2005-03-09T22:34:29Z</cp:lastPrinted>
  <dcterms:created xsi:type="dcterms:W3CDTF">2002-03-04T00:08:41Z</dcterms:created>
  <dcterms:modified xsi:type="dcterms:W3CDTF">2013-03-06T10:35:36Z</dcterms:modified>
  <cp:category/>
  <cp:version/>
  <cp:contentType/>
  <cp:contentStatus/>
</cp:coreProperties>
</file>